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<sst xmlns="http://schemas.openxmlformats.org/spreadsheetml/2006/main" count="1235" uniqueCount="291">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</sst>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285</v>
      </c>
      <c r="N3" s="235" t="s">
        <v>286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282</v>
      </c>
      <c r="F4" s="240" t="s">
        <v>116</v>
      </c>
      <c r="G4" s="242" t="s">
        <v>283</v>
      </c>
      <c r="H4" s="219" t="s">
        <v>284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290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287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346583.30000000005</v>
      </c>
      <c r="G8" s="18">
        <f aca="true" t="shared" si="0" ref="G8:G54">F8-E8</f>
        <v>18234.90000000008</v>
      </c>
      <c r="H8" s="45">
        <f>F8/E8*100</f>
        <v>105.55352180793332</v>
      </c>
      <c r="I8" s="31">
        <f aca="true" t="shared" si="1" ref="I8:I54">F8-D8</f>
        <v>-170845.69999999995</v>
      </c>
      <c r="J8" s="31">
        <f aca="true" t="shared" si="2" ref="J8:J14">F8/D8*100</f>
        <v>66.98180813213021</v>
      </c>
      <c r="K8" s="18">
        <f>K9+K15+K18+K19+K20+K32</f>
        <v>69272.074</v>
      </c>
      <c r="L8" s="18"/>
      <c r="M8" s="18">
        <f>M9+M15+M18+M19+M20+M32+M17</f>
        <v>46752</v>
      </c>
      <c r="N8" s="18">
        <f>N9+N15+N18+N19+N20+N32+N17</f>
        <v>41464.18499999998</v>
      </c>
      <c r="O8" s="31">
        <f aca="true" t="shared" si="3" ref="O8:O54">N8-M8</f>
        <v>-5287.815000000017</v>
      </c>
      <c r="P8" s="31">
        <f>F8/M8*100</f>
        <v>741.322938056126</v>
      </c>
      <c r="Q8" s="31">
        <f>N8-33748.16</f>
        <v>7716.02499999998</v>
      </c>
      <c r="R8" s="125">
        <f>N8/33748.16</f>
        <v>1.2286354278277682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197079.58</v>
      </c>
      <c r="G9" s="43">
        <f t="shared" si="0"/>
        <v>8774.929999999993</v>
      </c>
      <c r="H9" s="35">
        <f aca="true" t="shared" si="4" ref="H9:H32">F9/E9*100</f>
        <v>104.65996458398664</v>
      </c>
      <c r="I9" s="50">
        <f t="shared" si="1"/>
        <v>-115610.42000000001</v>
      </c>
      <c r="J9" s="50">
        <f t="shared" si="2"/>
        <v>63.027145095781755</v>
      </c>
      <c r="K9" s="132">
        <f>F9-217885.62/75*60</f>
        <v>22771.084000000003</v>
      </c>
      <c r="L9" s="132">
        <f>F9/(217885.62/75*60)*100</f>
        <v>113.06366845136453</v>
      </c>
      <c r="M9" s="35">
        <f>E9-червень!E9</f>
        <v>28146</v>
      </c>
      <c r="N9" s="35">
        <f>F9-червень!F9</f>
        <v>25699.859999999986</v>
      </c>
      <c r="O9" s="47">
        <f t="shared" si="3"/>
        <v>-2446.140000000014</v>
      </c>
      <c r="P9" s="50">
        <f aca="true" t="shared" si="5" ref="P9:P32">N9/M9*100</f>
        <v>91.30910253677249</v>
      </c>
      <c r="Q9" s="132">
        <f>N9-26568.11</f>
        <v>-868.2500000000146</v>
      </c>
      <c r="R9" s="133">
        <f>N9/26568.11</f>
        <v>0.9673198432255808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174267.75</v>
      </c>
      <c r="G10" s="135">
        <f t="shared" si="0"/>
        <v>9037.5</v>
      </c>
      <c r="H10" s="137">
        <f t="shared" si="4"/>
        <v>105.46964009314274</v>
      </c>
      <c r="I10" s="136">
        <f t="shared" si="1"/>
        <v>-66142.25</v>
      </c>
      <c r="J10" s="136">
        <f t="shared" si="2"/>
        <v>72.48772929578637</v>
      </c>
      <c r="K10" s="138">
        <f>F10-193695.6/75*60</f>
        <v>19311.26999999999</v>
      </c>
      <c r="L10" s="138">
        <f>F10/(193695.6/75*60)*100</f>
        <v>112.46238298650046</v>
      </c>
      <c r="M10" s="35">
        <f>E10-червень!E10</f>
        <v>23736</v>
      </c>
      <c r="N10" s="35">
        <f>F10-червень!F10</f>
        <v>22040.850000000006</v>
      </c>
      <c r="O10" s="138">
        <f t="shared" si="3"/>
        <v>-1695.1499999999942</v>
      </c>
      <c r="P10" s="136">
        <f t="shared" si="5"/>
        <v>92.85831648129425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10712.03</v>
      </c>
      <c r="G11" s="135">
        <f t="shared" si="0"/>
        <v>-1995.9699999999993</v>
      </c>
      <c r="H11" s="137">
        <f t="shared" si="4"/>
        <v>84.29359458608751</v>
      </c>
      <c r="I11" s="136">
        <f t="shared" si="1"/>
        <v>-12987.97</v>
      </c>
      <c r="J11" s="136">
        <f t="shared" si="2"/>
        <v>45.19843881856541</v>
      </c>
      <c r="K11" s="138">
        <f>F11-13818.75/75*60</f>
        <v>-342.96999999999935</v>
      </c>
      <c r="L11" s="138">
        <f>F11/(13818.75/75*60)*100</f>
        <v>96.89760289461783</v>
      </c>
      <c r="M11" s="35">
        <f>E11-червень!E11</f>
        <v>1920</v>
      </c>
      <c r="N11" s="35">
        <f>F11-червень!F11</f>
        <v>1498.9300000000003</v>
      </c>
      <c r="O11" s="138">
        <f t="shared" si="3"/>
        <v>-421.0699999999997</v>
      </c>
      <c r="P11" s="136">
        <f t="shared" si="5"/>
        <v>78.06927083333335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2996.1</v>
      </c>
      <c r="G12" s="135">
        <f t="shared" si="0"/>
        <v>167.0999999999999</v>
      </c>
      <c r="H12" s="137">
        <f t="shared" si="4"/>
        <v>105.90668080593848</v>
      </c>
      <c r="I12" s="136">
        <f t="shared" si="1"/>
        <v>-2803.9</v>
      </c>
      <c r="J12" s="136">
        <f t="shared" si="2"/>
        <v>51.65689655172414</v>
      </c>
      <c r="K12" s="138">
        <f>F12-4382.58/75*60</f>
        <v>-509.96399999999994</v>
      </c>
      <c r="L12" s="138">
        <f>F12/(4382.58*60)*100</f>
        <v>1.1393973412921155</v>
      </c>
      <c r="M12" s="35">
        <f>E12-червень!E12</f>
        <v>330</v>
      </c>
      <c r="N12" s="35">
        <f>F12-червень!F12</f>
        <v>403.5699999999997</v>
      </c>
      <c r="O12" s="138">
        <f t="shared" si="3"/>
        <v>73.56999999999971</v>
      </c>
      <c r="P12" s="136">
        <f t="shared" si="5"/>
        <v>122.29393939393931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3643.57</v>
      </c>
      <c r="G13" s="135">
        <f t="shared" si="0"/>
        <v>-1469.8299999999995</v>
      </c>
      <c r="H13" s="137">
        <f t="shared" si="4"/>
        <v>71.25532913521337</v>
      </c>
      <c r="I13" s="136">
        <f t="shared" si="1"/>
        <v>-4756.43</v>
      </c>
      <c r="J13" s="136">
        <f t="shared" si="2"/>
        <v>43.37583333333333</v>
      </c>
      <c r="K13" s="138">
        <f>F13-5960.54/75*60</f>
        <v>-1124.8619999999996</v>
      </c>
      <c r="L13" s="138">
        <f>F13/(5960.54/75*60)*100</f>
        <v>76.41023296546959</v>
      </c>
      <c r="M13" s="35">
        <f>E13-червень!E13</f>
        <v>1769.9999999999995</v>
      </c>
      <c r="N13" s="35">
        <f>F13-червень!F13</f>
        <v>860.1600000000003</v>
      </c>
      <c r="O13" s="138">
        <f t="shared" si="3"/>
        <v>-909.8399999999992</v>
      </c>
      <c r="P13" s="136">
        <f t="shared" si="5"/>
        <v>48.596610169491555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-791.67</v>
      </c>
      <c r="G15" s="43">
        <f t="shared" si="0"/>
        <v>-962.97</v>
      </c>
      <c r="H15" s="35"/>
      <c r="I15" s="50">
        <f t="shared" si="1"/>
        <v>-1291.67</v>
      </c>
      <c r="J15" s="50">
        <f>F15/D15*100</f>
        <v>-158.334</v>
      </c>
      <c r="K15" s="53">
        <f>F15-349.38</f>
        <v>-1141.05</v>
      </c>
      <c r="L15" s="53">
        <f>F15/349.38*100</f>
        <v>-226.59282156963764</v>
      </c>
      <c r="M15" s="35">
        <f>E15-червень!E15</f>
        <v>0</v>
      </c>
      <c r="N15" s="35">
        <f>F15-червень!F15</f>
        <v>66.47000000000003</v>
      </c>
      <c r="O15" s="47">
        <f t="shared" si="3"/>
        <v>66.47000000000003</v>
      </c>
      <c r="P15" s="50"/>
      <c r="Q15" s="50">
        <f>N15-358.81</f>
        <v>-292.34</v>
      </c>
      <c r="R15" s="126">
        <f>N15/358.81</f>
        <v>0.18525124717817237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-1289.04</v>
      </c>
      <c r="G16" s="135">
        <f t="shared" si="0"/>
        <v>-1289.04</v>
      </c>
      <c r="H16" s="137"/>
      <c r="I16" s="136">
        <f t="shared" si="1"/>
        <v>-1289.04</v>
      </c>
      <c r="J16" s="136"/>
      <c r="K16" s="138">
        <f>F16-850.64</f>
        <v>-2139.68</v>
      </c>
      <c r="L16" s="138">
        <f>F16/850.64*100</f>
        <v>-151.53766575754724</v>
      </c>
      <c r="M16" s="35">
        <f>E16-червень!E16</f>
        <v>0</v>
      </c>
      <c r="N16" s="35">
        <f>F16-червень!F16</f>
        <v>64.05999999999995</v>
      </c>
      <c r="O16" s="138">
        <f t="shared" si="3"/>
        <v>64.05999999999995</v>
      </c>
      <c r="P16" s="50"/>
      <c r="Q16" s="136">
        <f>N16-358.81</f>
        <v>-294.75000000000006</v>
      </c>
      <c r="R16" s="141">
        <f>N16/358.79</f>
        <v>0.17854455252376025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31244.5</v>
      </c>
      <c r="G19" s="43">
        <f t="shared" si="0"/>
        <v>5021.75</v>
      </c>
      <c r="H19" s="35">
        <f t="shared" si="4"/>
        <v>119.15035608393477</v>
      </c>
      <c r="I19" s="50">
        <f t="shared" si="1"/>
        <v>1294.5</v>
      </c>
      <c r="J19" s="178">
        <f>F19/D19*100</f>
        <v>104.32220367278798</v>
      </c>
      <c r="K19" s="179">
        <f>F19-0</f>
        <v>31244.5</v>
      </c>
      <c r="L19" s="180"/>
      <c r="M19" s="35">
        <f>E19-червень!E19</f>
        <v>2720</v>
      </c>
      <c r="N19" s="35">
        <f>F19-червень!F19</f>
        <v>1128.0060000000012</v>
      </c>
      <c r="O19" s="47">
        <f t="shared" si="3"/>
        <v>-1591.9939999999988</v>
      </c>
      <c r="P19" s="50">
        <f t="shared" si="5"/>
        <v>41.47080882352946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115008.16</v>
      </c>
      <c r="G20" s="43">
        <f t="shared" si="0"/>
        <v>5373.460000000006</v>
      </c>
      <c r="H20" s="35">
        <f t="shared" si="4"/>
        <v>104.9012402095322</v>
      </c>
      <c r="I20" s="50">
        <f t="shared" si="1"/>
        <v>-51761.84</v>
      </c>
      <c r="J20" s="178">
        <f aca="true" t="shared" si="6" ref="J20:J46">F20/D20*100</f>
        <v>68.96213947352642</v>
      </c>
      <c r="K20" s="178">
        <f>K21+K25+K26+K27</f>
        <v>17666.27999999999</v>
      </c>
      <c r="L20" s="136"/>
      <c r="M20" s="35">
        <f>E20-червень!E20</f>
        <v>15878.800000000003</v>
      </c>
      <c r="N20" s="35">
        <f>F20-червень!F20</f>
        <v>14563.808999999994</v>
      </c>
      <c r="O20" s="47">
        <f t="shared" si="3"/>
        <v>-1314.991000000009</v>
      </c>
      <c r="P20" s="50">
        <f t="shared" si="5"/>
        <v>91.71857445146982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61504.66</v>
      </c>
      <c r="G21" s="43">
        <f t="shared" si="0"/>
        <v>3826.4600000000064</v>
      </c>
      <c r="H21" s="35">
        <f t="shared" si="4"/>
        <v>106.6341529381985</v>
      </c>
      <c r="I21" s="50">
        <f t="shared" si="1"/>
        <v>-36695.34</v>
      </c>
      <c r="J21" s="178">
        <f t="shared" si="6"/>
        <v>62.6320366598778</v>
      </c>
      <c r="K21" s="178">
        <f>K22+K23+K24</f>
        <v>14143.399999999998</v>
      </c>
      <c r="L21" s="136"/>
      <c r="M21" s="35">
        <f>E21-червень!E21</f>
        <v>9321</v>
      </c>
      <c r="N21" s="35">
        <f>F21-червень!F21</f>
        <v>6747.343999999997</v>
      </c>
      <c r="O21" s="47">
        <f t="shared" si="3"/>
        <v>-2573.6560000000027</v>
      </c>
      <c r="P21" s="50">
        <f t="shared" si="5"/>
        <v>72.38862782963199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6975.84</v>
      </c>
      <c r="G22" s="135">
        <f t="shared" si="0"/>
        <v>6396.64</v>
      </c>
      <c r="H22" s="137">
        <f t="shared" si="4"/>
        <v>1204.3922651933701</v>
      </c>
      <c r="I22" s="136">
        <f t="shared" si="1"/>
        <v>5975.84</v>
      </c>
      <c r="J22" s="136">
        <f t="shared" si="6"/>
        <v>697.584</v>
      </c>
      <c r="K22" s="136">
        <f>F22-259.1</f>
        <v>6716.74</v>
      </c>
      <c r="L22" s="136">
        <f>F22/259.1*100</f>
        <v>2692.3350057892703</v>
      </c>
      <c r="M22" s="35">
        <f>E22-червень!E22</f>
        <v>213.00000000000006</v>
      </c>
      <c r="N22" s="35">
        <f>F22-червень!F22</f>
        <v>2018.737</v>
      </c>
      <c r="O22" s="138">
        <f t="shared" si="3"/>
        <v>1805.737</v>
      </c>
      <c r="P22" s="136">
        <f t="shared" si="5"/>
        <v>947.763849765258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588.2</v>
      </c>
      <c r="G23" s="135">
        <f t="shared" si="0"/>
        <v>38.200000000000045</v>
      </c>
      <c r="H23" s="137"/>
      <c r="I23" s="136">
        <f t="shared" si="1"/>
        <v>-911.8</v>
      </c>
      <c r="J23" s="136">
        <f t="shared" si="6"/>
        <v>39.21333333333334</v>
      </c>
      <c r="K23" s="136">
        <f>F23-0</f>
        <v>588.2</v>
      </c>
      <c r="L23" s="136"/>
      <c r="M23" s="35">
        <f>E23-червень!E23</f>
        <v>300</v>
      </c>
      <c r="N23" s="35">
        <f>F23-червень!F23</f>
        <v>377.52000000000004</v>
      </c>
      <c r="O23" s="138">
        <f t="shared" si="3"/>
        <v>77.52000000000004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53940.62</v>
      </c>
      <c r="G24" s="135">
        <f t="shared" si="0"/>
        <v>-2608.3799999999974</v>
      </c>
      <c r="H24" s="137">
        <f t="shared" si="4"/>
        <v>95.38739853931989</v>
      </c>
      <c r="I24" s="136">
        <f t="shared" si="1"/>
        <v>-41759.38</v>
      </c>
      <c r="J24" s="136">
        <f t="shared" si="6"/>
        <v>56.36428422152561</v>
      </c>
      <c r="K24" s="139">
        <f>F24-47102.16</f>
        <v>6838.459999999999</v>
      </c>
      <c r="L24" s="139">
        <f>F24/47102.16*100</f>
        <v>114.51835754453722</v>
      </c>
      <c r="M24" s="35">
        <f>E24-червень!E24</f>
        <v>8808</v>
      </c>
      <c r="N24" s="35">
        <f>F24-червень!F24</f>
        <v>4351.0869999999995</v>
      </c>
      <c r="O24" s="138">
        <f t="shared" si="3"/>
        <v>-4456.9130000000005</v>
      </c>
      <c r="P24" s="136">
        <f t="shared" si="5"/>
        <v>49.399262034514074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41.3</v>
      </c>
      <c r="G25" s="43">
        <f t="shared" si="0"/>
        <v>11.299999999999997</v>
      </c>
      <c r="H25" s="35">
        <f t="shared" si="4"/>
        <v>137.66666666666666</v>
      </c>
      <c r="I25" s="50">
        <f t="shared" si="1"/>
        <v>-28.700000000000003</v>
      </c>
      <c r="J25" s="178">
        <f t="shared" si="6"/>
        <v>59</v>
      </c>
      <c r="K25" s="178">
        <f>F25-34</f>
        <v>7.299999999999997</v>
      </c>
      <c r="L25" s="178">
        <f>F25/34*100</f>
        <v>121.4705882352941</v>
      </c>
      <c r="M25" s="35">
        <f>E25-червень!E25</f>
        <v>7.800000000000001</v>
      </c>
      <c r="N25" s="35">
        <f>F25-червень!F25</f>
        <v>3.8759999999999977</v>
      </c>
      <c r="O25" s="47">
        <f t="shared" si="3"/>
        <v>-3.924000000000003</v>
      </c>
      <c r="P25" s="50">
        <f t="shared" si="5"/>
        <v>49.69230769230766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-492.62</v>
      </c>
      <c r="G26" s="43">
        <f t="shared" si="0"/>
        <v>-492.62</v>
      </c>
      <c r="H26" s="35"/>
      <c r="I26" s="50">
        <f t="shared" si="1"/>
        <v>-492.62</v>
      </c>
      <c r="J26" s="136"/>
      <c r="K26" s="178">
        <f>F26-3736.89</f>
        <v>-4229.51</v>
      </c>
      <c r="L26" s="178">
        <f>F26/3736.89*100</f>
        <v>-13.182619772056443</v>
      </c>
      <c r="M26" s="35">
        <f>E26-червень!E26</f>
        <v>0</v>
      </c>
      <c r="N26" s="35">
        <f>F26-червень!F26</f>
        <v>-89.26100000000002</v>
      </c>
      <c r="O26" s="47">
        <f t="shared" si="3"/>
        <v>-89.26100000000002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53954.82</v>
      </c>
      <c r="G27" s="43">
        <f t="shared" si="0"/>
        <v>2028.3199999999997</v>
      </c>
      <c r="H27" s="35">
        <f t="shared" si="4"/>
        <v>103.90613655840465</v>
      </c>
      <c r="I27" s="50">
        <f t="shared" si="1"/>
        <v>-14545.18</v>
      </c>
      <c r="J27" s="178">
        <f t="shared" si="6"/>
        <v>78.7661605839416</v>
      </c>
      <c r="K27" s="132">
        <f>F27-46209.73</f>
        <v>7745.0899999999965</v>
      </c>
      <c r="L27" s="132">
        <f>F27/46209.73*100</f>
        <v>116.76073415707037</v>
      </c>
      <c r="M27" s="35">
        <f>E27-червень!E27</f>
        <v>6550</v>
      </c>
      <c r="N27" s="35">
        <f>F27-червень!F27</f>
        <v>7901.8499999999985</v>
      </c>
      <c r="O27" s="47">
        <f t="shared" si="3"/>
        <v>1351.8499999999985</v>
      </c>
      <c r="P27" s="50">
        <f t="shared" si="5"/>
        <v>120.6389312977099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12741.5</v>
      </c>
      <c r="G29" s="135">
        <f t="shared" si="0"/>
        <v>501.5</v>
      </c>
      <c r="H29" s="137">
        <f t="shared" si="4"/>
        <v>104.09722222222221</v>
      </c>
      <c r="I29" s="136">
        <f t="shared" si="1"/>
        <v>-3758.5</v>
      </c>
      <c r="J29" s="136">
        <f t="shared" si="6"/>
        <v>77.22121212121212</v>
      </c>
      <c r="K29" s="139">
        <f>F29-12569.54</f>
        <v>171.95999999999913</v>
      </c>
      <c r="L29" s="139">
        <f>F29/12569.54*100</f>
        <v>101.36806915766208</v>
      </c>
      <c r="M29" s="35">
        <f>E29-червень!E29</f>
        <v>1200</v>
      </c>
      <c r="N29" s="35">
        <f>F29-червень!F29</f>
        <v>1318.3400000000001</v>
      </c>
      <c r="O29" s="138">
        <f t="shared" si="3"/>
        <v>118.34000000000015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41205.92</v>
      </c>
      <c r="G30" s="135">
        <f t="shared" si="0"/>
        <v>1519.4199999999983</v>
      </c>
      <c r="H30" s="137">
        <f t="shared" si="4"/>
        <v>103.82855631008026</v>
      </c>
      <c r="I30" s="136">
        <f t="shared" si="1"/>
        <v>-10794.080000000002</v>
      </c>
      <c r="J30" s="136">
        <f t="shared" si="6"/>
        <v>79.24215384615384</v>
      </c>
      <c r="K30" s="139">
        <f>F30-33639.82</f>
        <v>7566.0999999999985</v>
      </c>
      <c r="L30" s="139">
        <f>F30/33639.82*100</f>
        <v>122.49149965725144</v>
      </c>
      <c r="M30" s="35">
        <f>E30-червень!E30</f>
        <v>5350</v>
      </c>
      <c r="N30" s="35">
        <f>F30-червень!F30</f>
        <v>6583.07</v>
      </c>
      <c r="O30" s="138">
        <f t="shared" si="3"/>
        <v>1233.0699999999997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8.59</v>
      </c>
      <c r="G31" s="135">
        <f t="shared" si="0"/>
        <v>8.59</v>
      </c>
      <c r="H31" s="137"/>
      <c r="I31" s="136">
        <f t="shared" si="1"/>
        <v>8.59</v>
      </c>
      <c r="J31" s="136"/>
      <c r="K31" s="139">
        <f>F31-0</f>
        <v>8.59</v>
      </c>
      <c r="L31" s="139"/>
      <c r="M31" s="35">
        <f>E31-червень!E31</f>
        <v>0</v>
      </c>
      <c r="N31" s="35">
        <f>F31-червень!F31</f>
        <v>0.41999999999999993</v>
      </c>
      <c r="O31" s="138">
        <f t="shared" si="3"/>
        <v>0.41999999999999993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4026.84</v>
      </c>
      <c r="G32" s="43">
        <f t="shared" si="0"/>
        <v>24.840000000000146</v>
      </c>
      <c r="H32" s="35">
        <f t="shared" si="4"/>
        <v>100.62068965517241</v>
      </c>
      <c r="I32" s="50">
        <f t="shared" si="1"/>
        <v>-3473.16</v>
      </c>
      <c r="J32" s="178">
        <f t="shared" si="6"/>
        <v>53.69120000000001</v>
      </c>
      <c r="K32" s="178">
        <f>F32-5308.17</f>
        <v>-1281.33</v>
      </c>
      <c r="L32" s="178">
        <f>F32/5308.17*100</f>
        <v>75.86117249447551</v>
      </c>
      <c r="M32" s="35">
        <f>E32-червень!E32</f>
        <v>7.199999999999818</v>
      </c>
      <c r="N32" s="35">
        <f>F32-червень!F32</f>
        <v>6.039999999999964</v>
      </c>
      <c r="O32" s="47">
        <f t="shared" si="3"/>
        <v>-1.1599999999998545</v>
      </c>
      <c r="P32" s="50">
        <f t="shared" si="5"/>
        <v>83.8888888888905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18442.32</v>
      </c>
      <c r="G33" s="44">
        <f t="shared" si="0"/>
        <v>11267.32</v>
      </c>
      <c r="H33" s="45">
        <f>F33/E33*100</f>
        <v>257.03581881533097</v>
      </c>
      <c r="I33" s="31">
        <f t="shared" si="1"/>
        <v>5875.219999999999</v>
      </c>
      <c r="J33" s="31">
        <f t="shared" si="6"/>
        <v>146.75080169649323</v>
      </c>
      <c r="K33" s="18">
        <f>K34+K35+K36+K37+K38+K41+K42+K47+K48+K52+K40</f>
        <v>10999.919999999998</v>
      </c>
      <c r="L33" s="18"/>
      <c r="M33" s="18">
        <f>M34+M35+M36+M37+M38+M41+M42+M47+M48+M52+M40+M39</f>
        <v>1057.5</v>
      </c>
      <c r="N33" s="18">
        <f>N34+N35+N36+N37+N38+N41+N42+N47+N48+N52+N40+N39</f>
        <v>2569.3199999999993</v>
      </c>
      <c r="O33" s="49">
        <f t="shared" si="3"/>
        <v>1511.8199999999993</v>
      </c>
      <c r="P33" s="31">
        <f>N33/M33*100</f>
        <v>242.96170212765952</v>
      </c>
      <c r="Q33" s="31">
        <f>N33-1017.63</f>
        <v>1551.6899999999991</v>
      </c>
      <c r="R33" s="127">
        <f>N33/1017.63</f>
        <v>2.5248076412841596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101.4</v>
      </c>
      <c r="G34" s="43">
        <f t="shared" si="0"/>
        <v>-3.5999999999999943</v>
      </c>
      <c r="H34" s="35">
        <f>F34/E34*100</f>
        <v>96.57142857142857</v>
      </c>
      <c r="I34" s="50">
        <f t="shared" si="1"/>
        <v>-98.6</v>
      </c>
      <c r="J34" s="50">
        <f t="shared" si="6"/>
        <v>50.7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10</v>
      </c>
      <c r="N34" s="35">
        <f>F34-червень!F34</f>
        <v>1</v>
      </c>
      <c r="O34" s="47">
        <f t="shared" si="3"/>
        <v>-9</v>
      </c>
      <c r="P34" s="50">
        <f>N34/M34*100</f>
        <v>10</v>
      </c>
      <c r="Q34" s="50">
        <f>N34-0</f>
        <v>1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244.09</v>
      </c>
      <c r="G36" s="43">
        <f t="shared" si="0"/>
        <v>244.09</v>
      </c>
      <c r="H36" s="35"/>
      <c r="I36" s="50">
        <f t="shared" si="1"/>
        <v>244.09</v>
      </c>
      <c r="J36" s="50"/>
      <c r="K36" s="50">
        <f>F36-214.58</f>
        <v>29.50999999999999</v>
      </c>
      <c r="L36" s="50">
        <f>F36/214.58*100</f>
        <v>113.75244663994779</v>
      </c>
      <c r="M36" s="35">
        <f>E36-червень!E36</f>
        <v>0</v>
      </c>
      <c r="N36" s="35">
        <f>F36-червень!F36</f>
        <v>55.91</v>
      </c>
      <c r="O36" s="47">
        <f t="shared" si="3"/>
        <v>55.91</v>
      </c>
      <c r="P36" s="50"/>
      <c r="Q36" s="50">
        <f>N36-4.23</f>
        <v>51.67999999999999</v>
      </c>
      <c r="R36" s="126">
        <f>N36/4.23</f>
        <v>13.217494089834513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88.63</v>
      </c>
      <c r="G38" s="43">
        <f t="shared" si="0"/>
        <v>8.629999999999995</v>
      </c>
      <c r="H38" s="35">
        <f>F38/E38*100</f>
        <v>110.7875</v>
      </c>
      <c r="I38" s="50">
        <f t="shared" si="1"/>
        <v>-51.370000000000005</v>
      </c>
      <c r="J38" s="50">
        <f t="shared" si="6"/>
        <v>63.30714285714285</v>
      </c>
      <c r="K38" s="50">
        <f>F38-78.24</f>
        <v>10.39</v>
      </c>
      <c r="L38" s="50">
        <f>F38/78.24*100</f>
        <v>113.27965235173825</v>
      </c>
      <c r="M38" s="35">
        <f>E38-червень!E38</f>
        <v>15</v>
      </c>
      <c r="N38" s="35">
        <f>F38-червень!F38</f>
        <v>7.009999999999991</v>
      </c>
      <c r="O38" s="47">
        <f t="shared" si="3"/>
        <v>-7.990000000000009</v>
      </c>
      <c r="P38" s="50">
        <f>N38/M38*100</f>
        <v>46.73333333333327</v>
      </c>
      <c r="Q38" s="50">
        <f>N38-9.02</f>
        <v>-2.0100000000000087</v>
      </c>
      <c r="R38" s="126">
        <f>N38/9.02</f>
        <v>0.7771618625277152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5758.33</v>
      </c>
      <c r="G40" s="43"/>
      <c r="H40" s="35"/>
      <c r="I40" s="50">
        <f t="shared" si="1"/>
        <v>5758.33</v>
      </c>
      <c r="J40" s="50"/>
      <c r="K40" s="50">
        <f>F40-0</f>
        <v>5758.33</v>
      </c>
      <c r="L40" s="50"/>
      <c r="M40" s="35">
        <f>E40-червень!E40</f>
        <v>0</v>
      </c>
      <c r="N40" s="35">
        <f>F40-червень!F40</f>
        <v>830.7299999999996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4590.86</v>
      </c>
      <c r="G42" s="43">
        <f t="shared" si="0"/>
        <v>4028.8599999999997</v>
      </c>
      <c r="H42" s="35">
        <f>F42/E42*100</f>
        <v>816.8790035587188</v>
      </c>
      <c r="I42" s="50">
        <f t="shared" si="1"/>
        <v>3490.8599999999997</v>
      </c>
      <c r="J42" s="50">
        <f t="shared" si="6"/>
        <v>417.350909090909</v>
      </c>
      <c r="K42" s="50">
        <f>F42-531.41</f>
        <v>4059.45</v>
      </c>
      <c r="L42" s="50">
        <f>F42/531.41*100</f>
        <v>863.9016954893584</v>
      </c>
      <c r="M42" s="35">
        <f>E42-червень!E42</f>
        <v>112</v>
      </c>
      <c r="N42" s="35">
        <f>F42-червень!F42</f>
        <v>557.6199999999999</v>
      </c>
      <c r="O42" s="47">
        <f t="shared" si="3"/>
        <v>445.6199999999999</v>
      </c>
      <c r="P42" s="50">
        <f>N42/M42*100</f>
        <v>497.8749999999999</v>
      </c>
      <c r="Q42" s="50">
        <f>N42-79.51</f>
        <v>478.1099999999999</v>
      </c>
      <c r="R42" s="126">
        <f>N42/79.51</f>
        <v>7.013205886052067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658.25</v>
      </c>
      <c r="G43" s="135">
        <f t="shared" si="0"/>
        <v>168.25</v>
      </c>
      <c r="H43" s="137">
        <f>F43/E43*100</f>
        <v>134.33673469387756</v>
      </c>
      <c r="I43" s="136">
        <f t="shared" si="1"/>
        <v>-311.75</v>
      </c>
      <c r="J43" s="136">
        <f t="shared" si="6"/>
        <v>67.86082474226805</v>
      </c>
      <c r="K43" s="136">
        <f>F43-359.18</f>
        <v>299.07</v>
      </c>
      <c r="L43" s="136">
        <f>F43/359.18*100</f>
        <v>183.2646583885517</v>
      </c>
      <c r="M43" s="35">
        <f>E43-червень!E43</f>
        <v>100</v>
      </c>
      <c r="N43" s="35">
        <f>F43-червень!F43</f>
        <v>75.50999999999999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</v>
      </c>
      <c r="G44" s="135">
        <f t="shared" si="0"/>
        <v>45.4</v>
      </c>
      <c r="H44" s="137"/>
      <c r="I44" s="136">
        <f t="shared" si="1"/>
        <v>45.4</v>
      </c>
      <c r="J44" s="136"/>
      <c r="K44" s="136">
        <f>F44-0</f>
        <v>45.4</v>
      </c>
      <c r="L44" s="136"/>
      <c r="M44" s="35">
        <f>E44-червень!E44</f>
        <v>0</v>
      </c>
      <c r="N44" s="35">
        <f>F44-червень!F44</f>
        <v>0.25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3886.47</v>
      </c>
      <c r="G46" s="135">
        <f t="shared" si="0"/>
        <v>3814.47</v>
      </c>
      <c r="H46" s="137">
        <f>F46/E46*100</f>
        <v>5397.875</v>
      </c>
      <c r="I46" s="136">
        <f t="shared" si="1"/>
        <v>3756.47</v>
      </c>
      <c r="J46" s="136">
        <f t="shared" si="6"/>
        <v>2989.5923076923077</v>
      </c>
      <c r="K46" s="136">
        <f>F46-56.15</f>
        <v>3830.3199999999997</v>
      </c>
      <c r="L46" s="136">
        <f>F46/56.15*100</f>
        <v>6921.585040071237</v>
      </c>
      <c r="M46" s="35">
        <f>E46-червень!E46</f>
        <v>-8</v>
      </c>
      <c r="N46" s="35">
        <f>F46-червень!F46</f>
        <v>481.8699999999999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2513.67</v>
      </c>
      <c r="G48" s="43">
        <f t="shared" si="0"/>
        <v>163.67000000000007</v>
      </c>
      <c r="H48" s="35">
        <f>F48/E48*100</f>
        <v>106.96468085106383</v>
      </c>
      <c r="I48" s="50">
        <f t="shared" si="1"/>
        <v>-1686.33</v>
      </c>
      <c r="J48" s="50">
        <f>F48/D48*100</f>
        <v>59.84928571428571</v>
      </c>
      <c r="K48" s="50">
        <f>F48-2346.09</f>
        <v>167.57999999999993</v>
      </c>
      <c r="L48" s="50">
        <f>F48/2346.09*100</f>
        <v>107.14294848023734</v>
      </c>
      <c r="M48" s="35">
        <f>E48-червень!E48</f>
        <v>370</v>
      </c>
      <c r="N48" s="35">
        <f>F48-червень!F48</f>
        <v>277.52</v>
      </c>
      <c r="O48" s="47">
        <f t="shared" si="3"/>
        <v>-92.48000000000002</v>
      </c>
      <c r="P48" s="50">
        <f aca="true" t="shared" si="7" ref="P48:P53">N48/M48*100</f>
        <v>75.0054054054054</v>
      </c>
      <c r="Q48" s="50">
        <f>N48-277.38</f>
        <v>0.13999999999998636</v>
      </c>
      <c r="R48" s="126">
        <f>N48/277.38</f>
        <v>1.0005047227629966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661.6</v>
      </c>
      <c r="G51" s="135">
        <f t="shared" si="0"/>
        <v>661.6</v>
      </c>
      <c r="H51" s="137"/>
      <c r="I51" s="136">
        <f t="shared" si="1"/>
        <v>661.6</v>
      </c>
      <c r="J51" s="136"/>
      <c r="K51" s="136">
        <f>F51-469.9</f>
        <v>191.70000000000005</v>
      </c>
      <c r="L51" s="138">
        <f>F51/469.9*100</f>
        <v>140.79591402426047</v>
      </c>
      <c r="M51" s="35">
        <f>E51-червень!E51</f>
        <v>0</v>
      </c>
      <c r="N51" s="35">
        <f>F51-червень!F51</f>
        <v>84.20000000000005</v>
      </c>
      <c r="O51" s="138">
        <f t="shared" si="3"/>
        <v>84.20000000000005</v>
      </c>
      <c r="P51" s="136"/>
      <c r="Q51" s="50">
        <f>N51-64.93</f>
        <v>19.27000000000004</v>
      </c>
      <c r="R51" s="126">
        <f>N51/64.93</f>
        <v>1.296781148929617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365040.14</v>
      </c>
      <c r="G55" s="44">
        <f>F55-E55</f>
        <v>29501.74000000005</v>
      </c>
      <c r="H55" s="45">
        <f>F55/E55*100</f>
        <v>108.79235878814468</v>
      </c>
      <c r="I55" s="31">
        <f>F55-D55</f>
        <v>-164982.45999999996</v>
      </c>
      <c r="J55" s="31">
        <f>F55/D55*100</f>
        <v>68.87256128323585</v>
      </c>
      <c r="K55" s="31">
        <f>K8+K33+K53+K54</f>
        <v>80271.004</v>
      </c>
      <c r="L55" s="31">
        <f>F55/(F55-K55)*100</f>
        <v>128.18809830570964</v>
      </c>
      <c r="M55" s="18">
        <f>M8+M33+M53+M54</f>
        <v>47811.7</v>
      </c>
      <c r="N55" s="18">
        <f>N8+N33+N53+N54</f>
        <v>44041.484999999986</v>
      </c>
      <c r="O55" s="49">
        <f>N55-M55</f>
        <v>-3770.215000000011</v>
      </c>
      <c r="P55" s="31">
        <f>N55/M55*100</f>
        <v>92.11445106532499</v>
      </c>
      <c r="Q55" s="31">
        <f>N55-34768</f>
        <v>9273.484999999986</v>
      </c>
      <c r="R55" s="171">
        <f>N55/34768</f>
        <v>1.2667247181316148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-48.16</v>
      </c>
      <c r="G61" s="43">
        <f aca="true" t="shared" si="8" ref="G61:G68">F61-E61</f>
        <v>-48.16</v>
      </c>
      <c r="H61" s="35"/>
      <c r="I61" s="53">
        <f aca="true" t="shared" si="9" ref="I61:I68">F61-D61</f>
        <v>-48.16</v>
      </c>
      <c r="J61" s="53"/>
      <c r="K61" s="47">
        <f>F61-183.34</f>
        <v>-231.5</v>
      </c>
      <c r="L61" s="53"/>
      <c r="M61" s="35">
        <v>0</v>
      </c>
      <c r="N61" s="36">
        <f>F61-червень!F61</f>
        <v>-17.119999999999997</v>
      </c>
      <c r="O61" s="47">
        <f aca="true" t="shared" si="10" ref="O61:O68">N61-M61</f>
        <v>-17.119999999999997</v>
      </c>
      <c r="P61" s="53"/>
      <c r="Q61" s="53">
        <f>N61-24.53</f>
        <v>-41.65</v>
      </c>
      <c r="R61" s="129">
        <f>N61/24.53</f>
        <v>-0.6979209131675498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-48.16</v>
      </c>
      <c r="G62" s="55">
        <f t="shared" si="8"/>
        <v>-48.16</v>
      </c>
      <c r="H62" s="65"/>
      <c r="I62" s="54">
        <f t="shared" si="9"/>
        <v>-48.16</v>
      </c>
      <c r="J62" s="54"/>
      <c r="K62" s="54">
        <f>K60+K61</f>
        <v>-230.36</v>
      </c>
      <c r="L62" s="54"/>
      <c r="M62" s="55">
        <f>M61</f>
        <v>0</v>
      </c>
      <c r="N62" s="33">
        <f>SUM(N60:N61)</f>
        <v>-17.119999999999997</v>
      </c>
      <c r="O62" s="54">
        <f t="shared" si="10"/>
        <v>-17.119999999999997</v>
      </c>
      <c r="P62" s="54"/>
      <c r="Q62" s="54">
        <f>N62-92.85</f>
        <v>-109.97</v>
      </c>
      <c r="R62" s="130">
        <f>N62/92.85</f>
        <v>-0.1843834141087776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592.97</v>
      </c>
      <c r="G64" s="43">
        <f t="shared" si="8"/>
        <v>192.97000000000003</v>
      </c>
      <c r="H64" s="35"/>
      <c r="I64" s="53">
        <f t="shared" si="9"/>
        <v>-1907.03</v>
      </c>
      <c r="J64" s="53">
        <f t="shared" si="11"/>
        <v>23.7188</v>
      </c>
      <c r="K64" s="53">
        <f>F64-1678.13</f>
        <v>-1085.16</v>
      </c>
      <c r="L64" s="53">
        <f>F64/1678.13*100</f>
        <v>35.335164736939326</v>
      </c>
      <c r="M64" s="35">
        <f>E64-червень!E64</f>
        <v>0</v>
      </c>
      <c r="N64" s="35">
        <f>F64-червень!F64</f>
        <v>398.97</v>
      </c>
      <c r="O64" s="47">
        <f t="shared" si="10"/>
        <v>398.97</v>
      </c>
      <c r="P64" s="53"/>
      <c r="Q64" s="53">
        <f>N64-0.04</f>
        <v>398.93</v>
      </c>
      <c r="R64" s="129">
        <f>N64/0.04</f>
        <v>9974.25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3361</v>
      </c>
      <c r="G65" s="43">
        <f t="shared" si="8"/>
        <v>-351.7600000000002</v>
      </c>
      <c r="H65" s="35">
        <f>F65/E65*100</f>
        <v>90.52564668871675</v>
      </c>
      <c r="I65" s="53">
        <f t="shared" si="9"/>
        <v>-8215</v>
      </c>
      <c r="J65" s="53">
        <f t="shared" si="11"/>
        <v>29.034208707671045</v>
      </c>
      <c r="K65" s="53">
        <f>F65-2235.97</f>
        <v>1125.0300000000002</v>
      </c>
      <c r="L65" s="53">
        <f>F65/2235.97*100</f>
        <v>150.31507578366435</v>
      </c>
      <c r="M65" s="35">
        <f>E65-червень!E65</f>
        <v>1213.0600000000004</v>
      </c>
      <c r="N65" s="35">
        <f>F65-червень!F65</f>
        <v>103.92999999999984</v>
      </c>
      <c r="O65" s="47">
        <f t="shared" si="10"/>
        <v>-1109.1300000000006</v>
      </c>
      <c r="P65" s="53">
        <f>N65/M65*100</f>
        <v>8.567589402008128</v>
      </c>
      <c r="Q65" s="53">
        <f>N65-450.01</f>
        <v>-346.08000000000015</v>
      </c>
      <c r="R65" s="129">
        <f>N65/450.01</f>
        <v>0.23095042332392576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5772.610000000001</v>
      </c>
      <c r="G67" s="55">
        <f t="shared" si="8"/>
        <v>771.25</v>
      </c>
      <c r="H67" s="65">
        <f>F67/E67*100</f>
        <v>115.42080554089287</v>
      </c>
      <c r="I67" s="54">
        <f t="shared" si="9"/>
        <v>-11303.39</v>
      </c>
      <c r="J67" s="54">
        <f t="shared" si="11"/>
        <v>33.80539939095807</v>
      </c>
      <c r="K67" s="54">
        <f>K64+K65+K66</f>
        <v>1094.2900000000002</v>
      </c>
      <c r="L67" s="54"/>
      <c r="M67" s="55">
        <f>M64+M65+M66</f>
        <v>1361.1600000000003</v>
      </c>
      <c r="N67" s="55">
        <f>N64+N65+N66</f>
        <v>503.1199999999999</v>
      </c>
      <c r="O67" s="54">
        <f t="shared" si="10"/>
        <v>-858.0400000000004</v>
      </c>
      <c r="P67" s="54">
        <f>N67/M67*100</f>
        <v>36.962590731434936</v>
      </c>
      <c r="Q67" s="54">
        <f>N67-7985.28</f>
        <v>-7482.16</v>
      </c>
      <c r="R67" s="173">
        <f>N67/7985.28</f>
        <v>0.06300593091287969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0.01</v>
      </c>
      <c r="G68" s="43">
        <f t="shared" si="8"/>
        <v>-13.99</v>
      </c>
      <c r="H68" s="35"/>
      <c r="I68" s="53">
        <f t="shared" si="9"/>
        <v>-34.99</v>
      </c>
      <c r="J68" s="53">
        <f t="shared" si="11"/>
        <v>0.028571428571428574</v>
      </c>
      <c r="K68" s="53">
        <f>F68-14.17</f>
        <v>-14.16</v>
      </c>
      <c r="L68" s="53">
        <f>F68/14.17*100</f>
        <v>0.07057163020465773</v>
      </c>
      <c r="M68" s="35">
        <f>E68-червень!E68</f>
        <v>0</v>
      </c>
      <c r="N68" s="35">
        <f>F68-червень!F68</f>
        <v>0.01</v>
      </c>
      <c r="O68" s="47">
        <f t="shared" si="10"/>
        <v>0.01</v>
      </c>
      <c r="P68" s="53"/>
      <c r="Q68" s="53">
        <f>N68-0.16</f>
        <v>-0.15</v>
      </c>
      <c r="R68" s="129">
        <f>N68/0.16</f>
        <v>0.0625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1.07</v>
      </c>
      <c r="G71" s="55">
        <f>F71-E71</f>
        <v>-24.93</v>
      </c>
      <c r="H71" s="65"/>
      <c r="I71" s="54">
        <f>F71-D71</f>
        <v>-52.93</v>
      </c>
      <c r="J71" s="54">
        <f>F71/D71*100</f>
        <v>1.9814814814814816</v>
      </c>
      <c r="K71" s="54">
        <f>K68+K69+K70</f>
        <v>-33.1</v>
      </c>
      <c r="L71" s="54"/>
      <c r="M71" s="55">
        <f>M68+M70+M69</f>
        <v>2</v>
      </c>
      <c r="N71" s="55">
        <f>N68+N70+N69</f>
        <v>0.01</v>
      </c>
      <c r="O71" s="54">
        <f>N71-M71</f>
        <v>-1.99</v>
      </c>
      <c r="P71" s="54"/>
      <c r="Q71" s="54">
        <f>N71-26.38</f>
        <v>-26.369999999999997</v>
      </c>
      <c r="R71" s="128">
        <f>N71/26.38</f>
        <v>0.0003790750568612585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5745.66</v>
      </c>
      <c r="G74" s="44">
        <f>F74-E74</f>
        <v>695.3099999999995</v>
      </c>
      <c r="H74" s="45">
        <f>F74/E74*100</f>
        <v>113.76756066411238</v>
      </c>
      <c r="I74" s="31">
        <f>F74-D74</f>
        <v>-11426.34</v>
      </c>
      <c r="J74" s="31">
        <f>F74/D74*100</f>
        <v>33.45946890286513</v>
      </c>
      <c r="K74" s="31">
        <f>K62+K67+K71+K72</f>
        <v>828.3700000000001</v>
      </c>
      <c r="L74" s="31"/>
      <c r="M74" s="27">
        <f>M62+M72+M67+M71</f>
        <v>1364.3600000000004</v>
      </c>
      <c r="N74" s="27">
        <f>N62+N72+N67+N71+N73</f>
        <v>486.0099999999999</v>
      </c>
      <c r="O74" s="31">
        <f>N74-M74</f>
        <v>-878.3500000000005</v>
      </c>
      <c r="P74" s="31">
        <f>N74/M74*100</f>
        <v>35.6218300155384</v>
      </c>
      <c r="Q74" s="31">
        <f>N74-8104.96</f>
        <v>-7618.95</v>
      </c>
      <c r="R74" s="127">
        <f>N74/8104.96</f>
        <v>0.05996451555590649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370785.8</v>
      </c>
      <c r="G75" s="44">
        <f>F75-E75</f>
        <v>30197.050000000047</v>
      </c>
      <c r="H75" s="45">
        <f>F75/E75*100</f>
        <v>108.86613254254583</v>
      </c>
      <c r="I75" s="31">
        <f>F75-D75</f>
        <v>-176408.8</v>
      </c>
      <c r="J75" s="31">
        <f>F75/D75*100</f>
        <v>67.76123156186118</v>
      </c>
      <c r="K75" s="31">
        <f>K55+K74</f>
        <v>81099.374</v>
      </c>
      <c r="L75" s="31">
        <f>F75/(F75-K75)*100</f>
        <v>127.99557270246416</v>
      </c>
      <c r="M75" s="18">
        <f>M55+M74</f>
        <v>49176.06</v>
      </c>
      <c r="N75" s="18">
        <f>N55+N74</f>
        <v>44527.49499999999</v>
      </c>
      <c r="O75" s="31">
        <f>N75-M75</f>
        <v>-4648.56500000001</v>
      </c>
      <c r="P75" s="31">
        <f>N75/M75*100</f>
        <v>90.54709751045526</v>
      </c>
      <c r="Q75" s="31">
        <f>N75-42872.96</f>
        <v>1654.534999999989</v>
      </c>
      <c r="R75" s="127">
        <f>N75/42872.96</f>
        <v>1.0385915738031615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3</v>
      </c>
      <c r="D77" s="4" t="s">
        <v>118</v>
      </c>
    </row>
    <row r="78" spans="2:17" ht="31.5">
      <c r="B78" s="71" t="s">
        <v>154</v>
      </c>
      <c r="C78" s="34">
        <f>IF(O55&lt;0,ABS(O55/C77),0)</f>
        <v>1256.738333333337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42212</v>
      </c>
      <c r="D79" s="34">
        <v>1916.6</v>
      </c>
      <c r="N79" s="246"/>
      <c r="O79" s="246"/>
    </row>
    <row r="80" spans="3:15" ht="15.75">
      <c r="C80" s="111">
        <v>42209</v>
      </c>
      <c r="D80" s="34">
        <v>1839.2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42208</v>
      </c>
      <c r="D81" s="34">
        <v>1839.2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144616.47086</v>
      </c>
      <c r="E83" s="73"/>
      <c r="F83" s="156" t="s">
        <v>147</v>
      </c>
      <c r="G83" s="252" t="s">
        <v>149</v>
      </c>
      <c r="H83" s="252"/>
      <c r="I83" s="107">
        <v>135706.73865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1" t="s">
        <v>280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117"/>
      <c r="R1" s="118"/>
    </row>
    <row r="2" spans="2:18" s="1" customFormat="1" ht="15.75" customHeight="1">
      <c r="B2" s="223"/>
      <c r="C2" s="223"/>
      <c r="D2" s="22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277</v>
      </c>
      <c r="N3" s="235" t="s">
        <v>278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279</v>
      </c>
      <c r="F4" s="262" t="s">
        <v>116</v>
      </c>
      <c r="G4" s="242" t="s">
        <v>275</v>
      </c>
      <c r="H4" s="219" t="s">
        <v>276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281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3"/>
      <c r="G5" s="243"/>
      <c r="H5" s="220"/>
      <c r="I5" s="244"/>
      <c r="J5" s="234"/>
      <c r="K5" s="238" t="s">
        <v>288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46"/>
      <c r="O79" s="246"/>
    </row>
    <row r="80" spans="3:15" ht="15.75">
      <c r="C80" s="111">
        <v>42181</v>
      </c>
      <c r="D80" s="34">
        <v>8722.4</v>
      </c>
      <c r="F80" s="217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42180</v>
      </c>
      <c r="D81" s="34">
        <v>4146.6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152943.93305000002</v>
      </c>
      <c r="E83" s="73"/>
      <c r="F83" s="218" t="s">
        <v>147</v>
      </c>
      <c r="G83" s="252" t="s">
        <v>149</v>
      </c>
      <c r="H83" s="252"/>
      <c r="I83" s="107">
        <v>144034.20084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266</v>
      </c>
      <c r="N3" s="235" t="s">
        <v>267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262</v>
      </c>
      <c r="F4" s="240" t="s">
        <v>116</v>
      </c>
      <c r="G4" s="242" t="s">
        <v>263</v>
      </c>
      <c r="H4" s="219" t="s">
        <v>264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273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265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46"/>
      <c r="O79" s="246"/>
    </row>
    <row r="80" spans="3:15" ht="15.75">
      <c r="C80" s="111">
        <v>42152</v>
      </c>
      <c r="D80" s="34">
        <v>5845.4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42151</v>
      </c>
      <c r="D81" s="34">
        <v>3158.7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7:13" ht="15.75" customHeight="1"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153606.78</v>
      </c>
      <c r="E83" s="73"/>
      <c r="F83" s="156" t="s">
        <v>147</v>
      </c>
      <c r="G83" s="252" t="s">
        <v>149</v>
      </c>
      <c r="H83" s="252"/>
      <c r="I83" s="107">
        <v>144697.05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4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240</v>
      </c>
      <c r="N3" s="235" t="s">
        <v>241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237</v>
      </c>
      <c r="F4" s="264" t="s">
        <v>116</v>
      </c>
      <c r="G4" s="242" t="s">
        <v>238</v>
      </c>
      <c r="H4" s="219" t="s">
        <v>239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260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5"/>
      <c r="G5" s="243"/>
      <c r="H5" s="220"/>
      <c r="I5" s="244"/>
      <c r="J5" s="234"/>
      <c r="K5" s="238" t="s">
        <v>242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5"/>
      <c r="H103" s="245"/>
      <c r="I103" s="245"/>
      <c r="J103" s="245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46"/>
      <c r="O104" s="246"/>
    </row>
    <row r="105" spans="3:15" ht="15.75">
      <c r="C105" s="111">
        <v>42123</v>
      </c>
      <c r="D105" s="34">
        <v>7959.6</v>
      </c>
      <c r="F105" s="201" t="s">
        <v>166</v>
      </c>
      <c r="G105" s="247"/>
      <c r="H105" s="247"/>
      <c r="I105" s="177"/>
      <c r="J105" s="248"/>
      <c r="K105" s="248"/>
      <c r="L105" s="248"/>
      <c r="M105" s="248"/>
      <c r="N105" s="246"/>
      <c r="O105" s="246"/>
    </row>
    <row r="106" spans="3:15" ht="15.75" customHeight="1">
      <c r="C106" s="111">
        <v>42122</v>
      </c>
      <c r="D106" s="34">
        <v>4962.7</v>
      </c>
      <c r="G106" s="252" t="s">
        <v>151</v>
      </c>
      <c r="H106" s="252"/>
      <c r="I106" s="106">
        <v>8909.73221</v>
      </c>
      <c r="J106" s="253"/>
      <c r="K106" s="253"/>
      <c r="L106" s="253"/>
      <c r="M106" s="253"/>
      <c r="N106" s="246"/>
      <c r="O106" s="246"/>
    </row>
    <row r="107" spans="7:13" ht="15.75" customHeight="1">
      <c r="G107" s="254" t="s">
        <v>234</v>
      </c>
      <c r="H107" s="255"/>
      <c r="I107" s="103">
        <v>0</v>
      </c>
      <c r="J107" s="248"/>
      <c r="K107" s="248"/>
      <c r="L107" s="248"/>
      <c r="M107" s="248"/>
    </row>
    <row r="108" spans="2:13" ht="18.75" customHeight="1">
      <c r="B108" s="256" t="s">
        <v>160</v>
      </c>
      <c r="C108" s="257"/>
      <c r="D108" s="108">
        <v>154856.06924</v>
      </c>
      <c r="E108" s="73"/>
      <c r="F108" s="202" t="s">
        <v>147</v>
      </c>
      <c r="G108" s="252" t="s">
        <v>149</v>
      </c>
      <c r="H108" s="252"/>
      <c r="I108" s="107">
        <v>145946.33703</v>
      </c>
      <c r="J108" s="248"/>
      <c r="K108" s="248"/>
      <c r="L108" s="248"/>
      <c r="M108" s="248"/>
    </row>
    <row r="109" spans="7:12" ht="9.75" customHeight="1">
      <c r="G109" s="247"/>
      <c r="H109" s="247"/>
      <c r="I109" s="90"/>
      <c r="J109" s="91"/>
      <c r="K109" s="91"/>
      <c r="L109" s="91"/>
    </row>
    <row r="110" spans="2:12" ht="22.5" customHeight="1" hidden="1">
      <c r="B110" s="258" t="s">
        <v>167</v>
      </c>
      <c r="C110" s="259"/>
      <c r="D110" s="110">
        <v>0</v>
      </c>
      <c r="E110" s="70" t="s">
        <v>104</v>
      </c>
      <c r="G110" s="247"/>
      <c r="H110" s="247"/>
      <c r="I110" s="90"/>
      <c r="J110" s="91"/>
      <c r="K110" s="91"/>
      <c r="L110" s="91"/>
    </row>
    <row r="111" spans="4:15" ht="15.75">
      <c r="D111" s="105"/>
      <c r="N111" s="247"/>
      <c r="O111" s="247"/>
    </row>
    <row r="112" spans="4:15" ht="15.75">
      <c r="D112" s="104"/>
      <c r="I112" s="34"/>
      <c r="N112" s="260"/>
      <c r="O112" s="260"/>
    </row>
    <row r="113" spans="14:15" ht="15.75">
      <c r="N113" s="247"/>
      <c r="O113" s="247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231</v>
      </c>
      <c r="N3" s="235" t="s">
        <v>232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228</v>
      </c>
      <c r="F4" s="240" t="s">
        <v>116</v>
      </c>
      <c r="G4" s="242" t="s">
        <v>229</v>
      </c>
      <c r="H4" s="219" t="s">
        <v>230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236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233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46"/>
      <c r="O105" s="246"/>
    </row>
    <row r="106" spans="3:15" ht="15.75">
      <c r="C106" s="111">
        <v>42093</v>
      </c>
      <c r="D106" s="34">
        <v>8025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42090</v>
      </c>
      <c r="D107" s="34">
        <v>4282.6</v>
      </c>
      <c r="G107" s="252" t="s">
        <v>151</v>
      </c>
      <c r="H107" s="252"/>
      <c r="I107" s="106">
        <f>8909732.21/1000</f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54" t="s">
        <v>234</v>
      </c>
      <c r="H108" s="255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147433239.77/1000</f>
        <v>147433.23977000001</v>
      </c>
      <c r="E109" s="73"/>
      <c r="F109" s="156" t="s">
        <v>147</v>
      </c>
      <c r="G109" s="252" t="s">
        <v>149</v>
      </c>
      <c r="H109" s="252"/>
      <c r="I109" s="107">
        <f>138523507.56/1000</f>
        <v>138523.50756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221</v>
      </c>
      <c r="N3" s="235" t="s">
        <v>202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199</v>
      </c>
      <c r="F4" s="240" t="s">
        <v>116</v>
      </c>
      <c r="G4" s="242" t="s">
        <v>200</v>
      </c>
      <c r="H4" s="219" t="s">
        <v>201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226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224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46"/>
      <c r="O105" s="246"/>
    </row>
    <row r="106" spans="3:15" ht="15.75">
      <c r="C106" s="111">
        <v>42061</v>
      </c>
      <c r="D106" s="34">
        <v>6003.3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42060</v>
      </c>
      <c r="D107" s="34">
        <v>1551.3</v>
      </c>
      <c r="G107" s="252" t="s">
        <v>151</v>
      </c>
      <c r="H107" s="252"/>
      <c r="I107" s="106"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66" t="s">
        <v>155</v>
      </c>
      <c r="H108" s="266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138305956.27/1000</f>
        <v>138305.95627000002</v>
      </c>
      <c r="E109" s="73"/>
      <c r="F109" s="156" t="s">
        <v>147</v>
      </c>
      <c r="G109" s="252" t="s">
        <v>149</v>
      </c>
      <c r="H109" s="252"/>
      <c r="I109" s="107">
        <v>129396.23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220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219</v>
      </c>
      <c r="F4" s="240" t="s">
        <v>116</v>
      </c>
      <c r="G4" s="242" t="s">
        <v>173</v>
      </c>
      <c r="H4" s="273" t="s">
        <v>174</v>
      </c>
      <c r="I4" s="271" t="s">
        <v>217</v>
      </c>
      <c r="J4" s="269" t="s">
        <v>218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5"/>
      <c r="H102" s="245"/>
      <c r="I102" s="245"/>
      <c r="J102" s="245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46"/>
      <c r="O103" s="246"/>
    </row>
    <row r="104" spans="3:15" ht="15.75">
      <c r="C104" s="111">
        <v>42033</v>
      </c>
      <c r="D104" s="34">
        <v>2896.5</v>
      </c>
      <c r="F104" s="155" t="s">
        <v>166</v>
      </c>
      <c r="G104" s="252" t="s">
        <v>151</v>
      </c>
      <c r="H104" s="252"/>
      <c r="I104" s="106">
        <f>'січень '!I139</f>
        <v>8909.733</v>
      </c>
      <c r="J104" s="267" t="s">
        <v>161</v>
      </c>
      <c r="K104" s="267"/>
      <c r="L104" s="267"/>
      <c r="M104" s="267"/>
      <c r="N104" s="246"/>
      <c r="O104" s="246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68" t="s">
        <v>162</v>
      </c>
      <c r="K105" s="268"/>
      <c r="L105" s="268"/>
      <c r="M105" s="268"/>
      <c r="N105" s="246"/>
      <c r="O105" s="246"/>
    </row>
    <row r="106" spans="7:13" ht="15.75" customHeight="1">
      <c r="G106" s="252" t="s">
        <v>148</v>
      </c>
      <c r="H106" s="252"/>
      <c r="I106" s="103">
        <f>'січень '!I141</f>
        <v>0</v>
      </c>
      <c r="J106" s="267" t="s">
        <v>163</v>
      </c>
      <c r="K106" s="267"/>
      <c r="L106" s="267"/>
      <c r="M106" s="267"/>
    </row>
    <row r="107" spans="2:13" ht="18.75" customHeight="1">
      <c r="B107" s="256" t="s">
        <v>160</v>
      </c>
      <c r="C107" s="257"/>
      <c r="D107" s="108">
        <f>'січень '!D142</f>
        <v>132375.63</v>
      </c>
      <c r="E107" s="73"/>
      <c r="F107" s="156" t="s">
        <v>147</v>
      </c>
      <c r="G107" s="252" t="s">
        <v>149</v>
      </c>
      <c r="H107" s="252"/>
      <c r="I107" s="107">
        <f>'січень '!I142</f>
        <v>123465.893</v>
      </c>
      <c r="J107" s="267" t="s">
        <v>164</v>
      </c>
      <c r="K107" s="267"/>
      <c r="L107" s="267"/>
      <c r="M107" s="267"/>
    </row>
    <row r="108" spans="7:12" ht="9.75" customHeight="1">
      <c r="G108" s="247"/>
      <c r="H108" s="247"/>
      <c r="I108" s="90"/>
      <c r="J108" s="91"/>
      <c r="K108" s="91"/>
      <c r="L108" s="91"/>
    </row>
    <row r="109" spans="2:12" ht="22.5" customHeight="1" hidden="1">
      <c r="B109" s="258" t="s">
        <v>167</v>
      </c>
      <c r="C109" s="259"/>
      <c r="D109" s="110">
        <v>0</v>
      </c>
      <c r="E109" s="70" t="s">
        <v>104</v>
      </c>
      <c r="G109" s="247"/>
      <c r="H109" s="247"/>
      <c r="I109" s="90"/>
      <c r="J109" s="91"/>
      <c r="K109" s="91"/>
      <c r="L109" s="91"/>
    </row>
    <row r="110" spans="4:15" ht="15.75">
      <c r="D110" s="105"/>
      <c r="N110" s="247"/>
      <c r="O110" s="247"/>
    </row>
    <row r="111" spans="4:15" ht="15.75">
      <c r="D111" s="104"/>
      <c r="I111" s="34"/>
      <c r="N111" s="260"/>
      <c r="O111" s="260"/>
    </row>
    <row r="112" spans="14:15" ht="15.75">
      <c r="N112" s="247"/>
      <c r="O112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203</v>
      </c>
      <c r="C3" s="227" t="s">
        <v>0</v>
      </c>
      <c r="D3" s="228" t="s">
        <v>190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187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153</v>
      </c>
      <c r="F4" s="240" t="s">
        <v>116</v>
      </c>
      <c r="G4" s="242" t="s">
        <v>173</v>
      </c>
      <c r="H4" s="273" t="s">
        <v>174</v>
      </c>
      <c r="I4" s="271" t="s">
        <v>186</v>
      </c>
      <c r="J4" s="269" t="s">
        <v>189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5"/>
      <c r="H137" s="245"/>
      <c r="I137" s="245"/>
      <c r="J137" s="245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46"/>
      <c r="O138" s="246"/>
    </row>
    <row r="139" spans="3:15" ht="15.75">
      <c r="C139" s="111">
        <v>42033</v>
      </c>
      <c r="D139" s="34">
        <v>2896.5</v>
      </c>
      <c r="F139" s="155" t="s">
        <v>166</v>
      </c>
      <c r="G139" s="252" t="s">
        <v>151</v>
      </c>
      <c r="H139" s="252"/>
      <c r="I139" s="106">
        <f>8909.733</f>
        <v>8909.733</v>
      </c>
      <c r="J139" s="267" t="s">
        <v>161</v>
      </c>
      <c r="K139" s="267"/>
      <c r="L139" s="267"/>
      <c r="M139" s="267"/>
      <c r="N139" s="246"/>
      <c r="O139" s="246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68" t="s">
        <v>162</v>
      </c>
      <c r="K140" s="268"/>
      <c r="L140" s="268"/>
      <c r="M140" s="268"/>
      <c r="N140" s="246"/>
      <c r="O140" s="246"/>
    </row>
    <row r="141" spans="7:13" ht="15.75" customHeight="1">
      <c r="G141" s="252" t="s">
        <v>148</v>
      </c>
      <c r="H141" s="252"/>
      <c r="I141" s="103">
        <v>0</v>
      </c>
      <c r="J141" s="267" t="s">
        <v>163</v>
      </c>
      <c r="K141" s="267"/>
      <c r="L141" s="267"/>
      <c r="M141" s="267"/>
    </row>
    <row r="142" spans="2:13" ht="18.75" customHeight="1">
      <c r="B142" s="256" t="s">
        <v>160</v>
      </c>
      <c r="C142" s="257"/>
      <c r="D142" s="108">
        <f>132375.63</f>
        <v>132375.63</v>
      </c>
      <c r="E142" s="73"/>
      <c r="F142" s="156" t="s">
        <v>147</v>
      </c>
      <c r="G142" s="252" t="s">
        <v>149</v>
      </c>
      <c r="H142" s="252"/>
      <c r="I142" s="107">
        <f>123465.893</f>
        <v>123465.893</v>
      </c>
      <c r="J142" s="267" t="s">
        <v>164</v>
      </c>
      <c r="K142" s="267"/>
      <c r="L142" s="267"/>
      <c r="M142" s="267"/>
    </row>
    <row r="143" spans="7:12" ht="9.75" customHeight="1">
      <c r="G143" s="247"/>
      <c r="H143" s="247"/>
      <c r="I143" s="90"/>
      <c r="J143" s="91"/>
      <c r="K143" s="91"/>
      <c r="L143" s="91"/>
    </row>
    <row r="144" spans="2:12" ht="22.5" customHeight="1" hidden="1">
      <c r="B144" s="258" t="s">
        <v>167</v>
      </c>
      <c r="C144" s="259"/>
      <c r="D144" s="110">
        <v>0</v>
      </c>
      <c r="E144" s="70" t="s">
        <v>104</v>
      </c>
      <c r="G144" s="247"/>
      <c r="H144" s="247"/>
      <c r="I144" s="90"/>
      <c r="J144" s="91"/>
      <c r="K144" s="91"/>
      <c r="L144" s="91"/>
    </row>
    <row r="145" spans="4:15" ht="15.75">
      <c r="D145" s="105"/>
      <c r="N145" s="247"/>
      <c r="O145" s="247"/>
    </row>
    <row r="146" spans="4:15" ht="15.75">
      <c r="D146" s="104"/>
      <c r="I146" s="34"/>
      <c r="N146" s="260"/>
      <c r="O146" s="260"/>
    </row>
    <row r="147" spans="14:15" ht="15.75">
      <c r="N147" s="247"/>
      <c r="O147" s="24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2015-07-27T08:21:33Z</cp:lastPrinted>
  <dcterms:created xsi:type="dcterms:W3CDTF">2003-07-28T11:27:56Z</dcterms:created>
  <dcterms:modified xsi:type="dcterms:W3CDTF">2015-07-28T08:27:32Z</dcterms:modified>
  <cp:category/>
  <cp:version/>
  <cp:contentType/>
  <cp:contentStatus/>
</cp:coreProperties>
</file>